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<sst xmlns="http://schemas.openxmlformats.org/spreadsheetml/2006/main" count="1017" uniqueCount="237">
  <si>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</si>
  <si>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</si>
  <si>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</si>
  <si>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</si>
  <si>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</si>
  <si>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</si>
  <si>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</si>
  <si>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</si>
  <si>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</si>
  <si>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</si>
  <si>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</si>
  <si>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</si>
  <si>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</si>
  <si>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</si>
  <si>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</si>
  <si>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</si>
  <si>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</si>
  <si>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</si>
  <si>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</si>
  <si>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</si>
  <si>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</si>
  <si>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</si>
  <si>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</si>
  <si>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</si>
  <si>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</si>
  <si>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</si>
  <si>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</si>
  <si>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</si>
  <si>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</si>
  <si>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</si>
  <si>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</si>
  <si>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</si>
  <si>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</si>
  <si>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</si>
  <si>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</si>
  <si>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</si>
  <si>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</si>
  <si>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</si>
  <si>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</si>
  <si>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</si>
  <si>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</si>
  <si>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</si>
  <si>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</si>
  <si>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</si>
  <si>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</si>
  <si>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</si>
  <si>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</si>
  <si>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</si>
  <si>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</si>
  <si>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</si>
  <si>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</si>
  <si>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</si>
  <si>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</si>
  <si>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</si>
  <si>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</si>
  <si>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</si>
  <si>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</si>
  <si>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</si>
  <si>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</si>
  <si>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</si>
  <si>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</si>
  <si>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</si>
  <si>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</si>
  <si>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</si>
  <si>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</si>
  <si>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</si>
  <si>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</si>
  <si>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</si>
  <si>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</si>
  <si>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</si>
  <si>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</si>
  <si>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</si>
  <si>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</si>
  <si>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</si>
  <si>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</si>
  <si>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</si>
  <si>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</si>
  <si>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</si>
  <si>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</si>
  <si>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</si>
  <si>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</si>
  <si>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</si>
  <si>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</si>
  <si>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</si>
  <si>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</si>
  <si>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</si>
  <si>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</si>
  <si>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</si>
  <si>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</si>
  <si>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</si>
  <si>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</si>
  <si>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</si>
  <si>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</si>
  <si>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</si>
  <si>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</si>
  <si>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</si>
  <si>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</si>
  <si>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</si>
  <si>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</si>
  <si>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</si>
  <si>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</si>
  <si>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</si>
  <si>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</si>
  <si>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</si>
  <si>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</si>
  <si>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</si>
  <si>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</si>
  <si>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</si>
  <si>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</si>
  <si>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</si>
  <si>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</si>
  <si>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</si>
  <si>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</si>
  <si>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</si>
  <si>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</si>
  <si>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</si>
  <si>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</si>
  <si>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</si>
  <si>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</si>
  <si>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</si>
  <si>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</si>
  <si>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</si>
  <si>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</si>
  <si>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</si>
  <si>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</si>
  <si>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</si>
  <si>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</si>
  <si>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</si>
  <si>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</si>
  <si>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</si>
  <si>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</si>
  <si>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</si>
  <si>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</si>
  <si>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</si>
  <si>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</si>
  <si>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</si>
  <si>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</si>
  <si>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</si>
  <si>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</si>
  <si>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</si>
  <si>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</si>
  <si>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</si>
  <si>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</si>
  <si>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</si>
  <si>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</si>
  <si>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</si>
  <si>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</si>
  <si>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</si>
  <si>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</si>
  <si>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</si>
  <si>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</si>
  <si>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</si>
  <si>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</si>
  <si>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</si>
  <si>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</si>
  <si>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</si>
  <si>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</si>
  <si>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</si>
  <si>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</si>
  <si>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</si>
  <si>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</si>
  <si>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</si>
  <si>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</si>
  <si>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</si>
  <si>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</si>
  <si>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</si>
  <si>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</si>
  <si>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</si>
  <si>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</si>
  <si>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</si>
  <si>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</si>
  <si>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</si>
  <si>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</si>
  <si>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</si>
  <si>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</si>
  <si>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</si>
  <si>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</si>
  <si>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</si>
  <si>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</si>
  <si>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</si>
  <si>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</si>
  <si>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</si>
  <si>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</si>
  <si>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</si>
  <si>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</si>
  <si>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</si>
  <si>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</si>
  <si>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</si>
  <si>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</si>
  <si>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</si>
  <si>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</si>
  <si>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</si>
  <si>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</si>
  <si>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</si>
  <si>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</si>
  <si>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</si>
  <si>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</si>
  <si>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</si>
  <si>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</si>
  <si>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</si>
  <si>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</si>
  <si>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</si>
  <si>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</si>
  <si>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</si>
  <si>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</si>
  <si>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</si>
  <si>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</si>
  <si>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</si>
  <si>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</si>
  <si>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</si>
  <si>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</si>
  <si>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</si>
  <si>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</si>
  <si>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</si>
  <si>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</si>
  <si>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</si>
  <si>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</si>
  <si>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</si>
  <si>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</si>
  <si>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</si>
  <si>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</si>
  <si>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</si>
  <si>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</si>
  <si>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</si>
  <si>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</si>
  <si>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</si>
  <si>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</si>
  <si>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</si>
  <si>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</si>
  <si>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</si>
  <si>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</si>
  <si>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</si>
  <si>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</si>
  <si>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</si>
  <si>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</si>
  <si>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</si>
  <si>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21.05.14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</si>
</sst>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122203422.64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108378200.68</v>
          </cell>
        </row>
      </sheetData>
      <sheetData sheetId="13">
        <row r="52">
          <cell r="B52">
            <v>8530754.199999996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7" sqref="E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233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229</v>
      </c>
      <c r="H4" s="180" t="s">
        <v>230</v>
      </c>
      <c r="I4" s="182" t="s">
        <v>188</v>
      </c>
      <c r="J4" s="184" t="s">
        <v>189</v>
      </c>
      <c r="K4" s="186" t="s">
        <v>231</v>
      </c>
      <c r="L4" s="187"/>
      <c r="M4" s="176"/>
      <c r="N4" s="194" t="s">
        <v>236</v>
      </c>
      <c r="O4" s="182" t="s">
        <v>136</v>
      </c>
      <c r="P4" s="182" t="s">
        <v>135</v>
      </c>
      <c r="Q4" s="186" t="s">
        <v>234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228</v>
      </c>
      <c r="F5" s="179"/>
      <c r="G5" s="164"/>
      <c r="H5" s="181"/>
      <c r="I5" s="183"/>
      <c r="J5" s="185"/>
      <c r="K5" s="188"/>
      <c r="L5" s="189"/>
      <c r="M5" s="151" t="s">
        <v>232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167443.63</v>
      </c>
      <c r="G8" s="22">
        <f aca="true" t="shared" si="0" ref="G8:G30">F8-E8</f>
        <v>-24227.429999999993</v>
      </c>
      <c r="H8" s="51">
        <f>F8/E8*100</f>
        <v>87.35989147240069</v>
      </c>
      <c r="I8" s="36">
        <f aca="true" t="shared" si="1" ref="I8:I17">F8-D8</f>
        <v>-321032.67</v>
      </c>
      <c r="J8" s="36">
        <f aca="true" t="shared" si="2" ref="J8:J14">F8/D8*100</f>
        <v>34.27876234732371</v>
      </c>
      <c r="K8" s="36">
        <f>F8-187134.8</f>
        <v>-19691.169999999984</v>
      </c>
      <c r="L8" s="136">
        <f>F8/187134.8</f>
        <v>0.8947754773564298</v>
      </c>
      <c r="M8" s="22">
        <f>M10+M19+M33+M56+M68+M30</f>
        <v>37449.96999999999</v>
      </c>
      <c r="N8" s="22">
        <f>N10+N19+N33+N56+N68+N30</f>
        <v>21681.870000000017</v>
      </c>
      <c r="O8" s="36">
        <f aca="true" t="shared" si="3" ref="O8:O71">N8-M8</f>
        <v>-15768.09999999997</v>
      </c>
      <c r="P8" s="36">
        <f>F8/M8*100</f>
        <v>447.1128548300574</v>
      </c>
      <c r="Q8" s="36">
        <f>N8-36022.2</f>
        <v>-14340.32999999998</v>
      </c>
      <c r="R8" s="134">
        <f>N8/36022.2</f>
        <v>0.6019029931542221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136896.45</v>
      </c>
      <c r="G9" s="22">
        <f t="shared" si="0"/>
        <v>136896.45</v>
      </c>
      <c r="H9" s="20"/>
      <c r="I9" s="56">
        <f t="shared" si="1"/>
        <v>-250116.75</v>
      </c>
      <c r="J9" s="56">
        <f t="shared" si="2"/>
        <v>35.37255318423248</v>
      </c>
      <c r="K9" s="56"/>
      <c r="L9" s="135"/>
      <c r="M9" s="20">
        <f>M10+M17</f>
        <v>30408.59999999999</v>
      </c>
      <c r="N9" s="20">
        <f>N10+N17</f>
        <v>19776.300000000017</v>
      </c>
      <c r="O9" s="36">
        <f t="shared" si="3"/>
        <v>-10632.299999999974</v>
      </c>
      <c r="P9" s="56">
        <f>F9/M9*100</f>
        <v>450.18991337976775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136896.45</v>
      </c>
      <c r="G10" s="49">
        <f t="shared" si="0"/>
        <v>-19215.349999999977</v>
      </c>
      <c r="H10" s="40">
        <f aca="true" t="shared" si="4" ref="H10:H17">F10/E10*100</f>
        <v>87.69128919146408</v>
      </c>
      <c r="I10" s="56">
        <f t="shared" si="1"/>
        <v>-250116.75</v>
      </c>
      <c r="J10" s="56">
        <f t="shared" si="2"/>
        <v>35.37255318423248</v>
      </c>
      <c r="K10" s="141">
        <f>F10-145839</f>
        <v>-8942.549999999988</v>
      </c>
      <c r="L10" s="142">
        <f>F10/145839</f>
        <v>0.9386820397835971</v>
      </c>
      <c r="M10" s="40">
        <f>E10-квітень!E10</f>
        <v>30408.59999999999</v>
      </c>
      <c r="N10" s="40">
        <f>F10-квітень!F10</f>
        <v>19776.300000000017</v>
      </c>
      <c r="O10" s="53">
        <f t="shared" si="3"/>
        <v>-10632.299999999974</v>
      </c>
      <c r="P10" s="56">
        <f aca="true" t="shared" si="5" ref="P10:P17">N10/M10*100</f>
        <v>65.0352202995206</v>
      </c>
      <c r="Q10" s="141">
        <f>N10-28567.7</f>
        <v>-8791.399999999983</v>
      </c>
      <c r="R10" s="142">
        <f>N10/28567.7</f>
        <v>0.6922608400396257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607.89</v>
      </c>
      <c r="G19" s="49">
        <f t="shared" si="0"/>
        <v>-403.71000000000004</v>
      </c>
      <c r="H19" s="40">
        <f aca="true" t="shared" si="6" ref="H19:H29">F19/E19*100</f>
        <v>60.091933570581254</v>
      </c>
      <c r="I19" s="56">
        <f aca="true" t="shared" si="7" ref="I19:I29">F19-D19</f>
        <v>-392.11</v>
      </c>
      <c r="J19" s="56">
        <f aca="true" t="shared" si="8" ref="J19:J29">F19/D19*100</f>
        <v>60.789</v>
      </c>
      <c r="K19" s="56">
        <f>F19-5155.1</f>
        <v>-4547.21</v>
      </c>
      <c r="L19" s="135">
        <f>F19/5155.1</f>
        <v>0.11792011794145603</v>
      </c>
      <c r="M19" s="40">
        <f>E19-квітень!E19</f>
        <v>12</v>
      </c>
      <c r="N19" s="40">
        <f>F19-квітень!F19</f>
        <v>54.97000000000003</v>
      </c>
      <c r="O19" s="53">
        <f t="shared" si="3"/>
        <v>42.97000000000003</v>
      </c>
      <c r="P19" s="56">
        <f aca="true" t="shared" si="9" ref="P19:P29">N19/M19*100</f>
        <v>458.08333333333354</v>
      </c>
      <c r="Q19" s="56">
        <f>N19-419.2</f>
        <v>-364.22999999999996</v>
      </c>
      <c r="R19" s="135">
        <f>N19/419.2</f>
        <v>0.13113072519083976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27263.67</v>
      </c>
      <c r="G33" s="49">
        <f aca="true" t="shared" si="14" ref="G33:G72">F33-E33</f>
        <v>-4476.790000000001</v>
      </c>
      <c r="H33" s="40">
        <f aca="true" t="shared" si="15" ref="H33:H67">F33/E33*100</f>
        <v>85.89563604308191</v>
      </c>
      <c r="I33" s="56">
        <f>F33-D33</f>
        <v>-66302.33</v>
      </c>
      <c r="J33" s="56">
        <f aca="true" t="shared" si="16" ref="J33:J72">F33/D33*100</f>
        <v>29.138437039095393</v>
      </c>
      <c r="K33" s="141">
        <f>F33-33465.8</f>
        <v>-6202.130000000005</v>
      </c>
      <c r="L33" s="142">
        <f>F33/33465.8</f>
        <v>0.8146725911228776</v>
      </c>
      <c r="M33" s="40">
        <f>E33-квітень!E33</f>
        <v>6469.869999999999</v>
      </c>
      <c r="N33" s="40">
        <f>F33-квітень!F33</f>
        <v>1346.25</v>
      </c>
      <c r="O33" s="53">
        <f t="shared" si="3"/>
        <v>-5123.619999999999</v>
      </c>
      <c r="P33" s="56">
        <f aca="true" t="shared" si="17" ref="P33:P67">N33/M33*100</f>
        <v>20.807991505238903</v>
      </c>
      <c r="Q33" s="141">
        <f>N33-6537.6</f>
        <v>-5191.35</v>
      </c>
      <c r="R33" s="142">
        <f>N33/6537.2</f>
        <v>0.205936792510555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20477.08</v>
      </c>
      <c r="G55" s="144">
        <f t="shared" si="14"/>
        <v>-3073.079999999998</v>
      </c>
      <c r="H55" s="146">
        <f t="shared" si="15"/>
        <v>86.95091668167011</v>
      </c>
      <c r="I55" s="145">
        <f t="shared" si="18"/>
        <v>-49788.92</v>
      </c>
      <c r="J55" s="145">
        <f t="shared" si="16"/>
        <v>29.142230950957792</v>
      </c>
      <c r="K55" s="148">
        <f>F55-24232.1</f>
        <v>-3755.019999999997</v>
      </c>
      <c r="L55" s="149">
        <f>F55/24232.1</f>
        <v>0.8450394311677487</v>
      </c>
      <c r="M55" s="40">
        <f>E55-квітень!E55</f>
        <v>4739.869999999999</v>
      </c>
      <c r="N55" s="40">
        <f>F55-квітень!F55</f>
        <v>1081.6800000000003</v>
      </c>
      <c r="O55" s="148">
        <f t="shared" si="3"/>
        <v>-3658.1899999999987</v>
      </c>
      <c r="P55" s="148">
        <f t="shared" si="17"/>
        <v>22.820879053644944</v>
      </c>
      <c r="Q55" s="160">
        <f>N55-4803.25</f>
        <v>-3721.5699999999997</v>
      </c>
      <c r="R55" s="161">
        <f>N55/4803.25</f>
        <v>0.22519752251080005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2671.83</v>
      </c>
      <c r="G56" s="49">
        <f t="shared" si="14"/>
        <v>-117.26999999999998</v>
      </c>
      <c r="H56" s="40">
        <f t="shared" si="15"/>
        <v>95.79541787673443</v>
      </c>
      <c r="I56" s="56">
        <f t="shared" si="18"/>
        <v>-4188.17</v>
      </c>
      <c r="J56" s="56">
        <f t="shared" si="16"/>
        <v>38.94795918367347</v>
      </c>
      <c r="K56" s="56">
        <f>F56-2649.7</f>
        <v>22.13000000000011</v>
      </c>
      <c r="L56" s="135">
        <f>F56/2649.7</f>
        <v>1.0083518888930822</v>
      </c>
      <c r="M56" s="40">
        <f>E56-квітень!E56</f>
        <v>551</v>
      </c>
      <c r="N56" s="40">
        <f>F56-квітень!F56</f>
        <v>504.3499999999999</v>
      </c>
      <c r="O56" s="53">
        <f t="shared" si="3"/>
        <v>-46.65000000000009</v>
      </c>
      <c r="P56" s="56">
        <f t="shared" si="17"/>
        <v>91.53357531760435</v>
      </c>
      <c r="Q56" s="56">
        <f>N56-497.8</f>
        <v>6.549999999999898</v>
      </c>
      <c r="R56" s="135">
        <f>N56/497.8</f>
        <v>1.0131578947368418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5244.74</v>
      </c>
      <c r="G74" s="50">
        <f aca="true" t="shared" si="24" ref="G74:G92">F74-E74</f>
        <v>-683.2600000000002</v>
      </c>
      <c r="H74" s="51">
        <f aca="true" t="shared" si="25" ref="H74:H87">F74/E74*100</f>
        <v>88.47402159244264</v>
      </c>
      <c r="I74" s="36">
        <f aca="true" t="shared" si="26" ref="I74:I92">F74-D74</f>
        <v>-13113.56</v>
      </c>
      <c r="J74" s="36">
        <f aca="true" t="shared" si="27" ref="J74:J92">F74/D74*100</f>
        <v>28.568767260585133</v>
      </c>
      <c r="K74" s="36">
        <f>F74-5538.5</f>
        <v>-293.7600000000002</v>
      </c>
      <c r="L74" s="136">
        <f>F74/7538.5</f>
        <v>0.6957272666976189</v>
      </c>
      <c r="M74" s="22">
        <f>M77+M86+M88+M89+M94+M95+M96+M97+M99+M87+M103</f>
        <v>1480.5</v>
      </c>
      <c r="N74" s="22">
        <f>N77+N86+N88+N89+N94+N95+N96+N97+N99+N32+N103+N87</f>
        <v>1058.4199999999998</v>
      </c>
      <c r="O74" s="55">
        <f aca="true" t="shared" si="28" ref="O74:O92">N74-M74</f>
        <v>-422.08000000000015</v>
      </c>
      <c r="P74" s="36">
        <f>N74/M74*100</f>
        <v>71.49071259709557</v>
      </c>
      <c r="Q74" s="36">
        <f>N74-2163.7</f>
        <v>-1105.28</v>
      </c>
      <c r="R74" s="136">
        <f>N74/2163.7</f>
        <v>0.4891713268937468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104.09</v>
      </c>
      <c r="G77" s="49">
        <f t="shared" si="24"/>
        <v>44.09</v>
      </c>
      <c r="H77" s="40">
        <f t="shared" si="25"/>
        <v>173.48333333333335</v>
      </c>
      <c r="I77" s="56">
        <f t="shared" si="26"/>
        <v>-395.90999999999997</v>
      </c>
      <c r="J77" s="56">
        <f t="shared" si="27"/>
        <v>20.818</v>
      </c>
      <c r="K77" s="56">
        <f>F77-1633.9</f>
        <v>-1529.8100000000002</v>
      </c>
      <c r="L77" s="135">
        <f>F77/1633.9</f>
        <v>0.06370646918416059</v>
      </c>
      <c r="M77" s="40">
        <f>E77-квітень!E77</f>
        <v>50</v>
      </c>
      <c r="N77" s="40">
        <f>F77-квітень!F77</f>
        <v>82.22</v>
      </c>
      <c r="O77" s="53">
        <f t="shared" si="28"/>
        <v>32.22</v>
      </c>
      <c r="P77" s="56">
        <f aca="true" t="shared" si="29" ref="P77:P87">N77/M77*100</f>
        <v>164.44</v>
      </c>
      <c r="Q77" s="56">
        <f>N77-291.7</f>
        <v>-209.48</v>
      </c>
      <c r="R77" s="135">
        <f>N77/291.7</f>
        <v>0.28186492972231747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44.58</v>
      </c>
      <c r="G89" s="49">
        <f t="shared" si="24"/>
        <v>-24.42</v>
      </c>
      <c r="H89" s="40">
        <f>F89/E89*100</f>
        <v>64.6086956521739</v>
      </c>
      <c r="I89" s="56">
        <f t="shared" si="26"/>
        <v>-130.42000000000002</v>
      </c>
      <c r="J89" s="56">
        <f t="shared" si="27"/>
        <v>25.474285714285717</v>
      </c>
      <c r="K89" s="56">
        <f>F89-73.4</f>
        <v>-28.820000000000007</v>
      </c>
      <c r="L89" s="135">
        <f>F89/73.4</f>
        <v>0.6073569482288828</v>
      </c>
      <c r="M89" s="40">
        <f>E89-квітень!E89</f>
        <v>15</v>
      </c>
      <c r="N89" s="40">
        <f>F89-квітень!F89</f>
        <v>10.14</v>
      </c>
      <c r="O89" s="53">
        <f t="shared" si="28"/>
        <v>-4.859999999999999</v>
      </c>
      <c r="P89" s="56">
        <f>N89/M89*100</f>
        <v>67.60000000000001</v>
      </c>
      <c r="Q89" s="56">
        <f>N89-7.1</f>
        <v>3.040000000000001</v>
      </c>
      <c r="R89" s="135">
        <f>N89/7.1</f>
        <v>1.4281690140845071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327.18</v>
      </c>
      <c r="G96" s="49">
        <f t="shared" si="31"/>
        <v>-47.31999999999999</v>
      </c>
      <c r="H96" s="40">
        <f>F96/E96*100</f>
        <v>87.36448598130842</v>
      </c>
      <c r="I96" s="56">
        <f t="shared" si="32"/>
        <v>-872.8199999999999</v>
      </c>
      <c r="J96" s="56">
        <f>F96/D96*100</f>
        <v>27.265</v>
      </c>
      <c r="K96" s="56">
        <f>F96-374</f>
        <v>-46.81999999999999</v>
      </c>
      <c r="L96" s="135">
        <f>F96/374</f>
        <v>0.874812834224599</v>
      </c>
      <c r="M96" s="40">
        <f>E96-квітень!E96</f>
        <v>80</v>
      </c>
      <c r="N96" s="40">
        <f>F96-квітень!F96</f>
        <v>47.59000000000003</v>
      </c>
      <c r="O96" s="53">
        <f t="shared" si="33"/>
        <v>-32.40999999999997</v>
      </c>
      <c r="P96" s="56">
        <f>N96/M96*100</f>
        <v>59.48750000000004</v>
      </c>
      <c r="Q96" s="56">
        <f>N96-68.5</f>
        <v>-20.909999999999968</v>
      </c>
      <c r="R96" s="135">
        <f>N96/68.5</f>
        <v>0.6947445255474457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1577.18</v>
      </c>
      <c r="G99" s="49">
        <f t="shared" si="31"/>
        <v>70.18000000000006</v>
      </c>
      <c r="H99" s="40">
        <f>F99/E99*100</f>
        <v>104.65693430656935</v>
      </c>
      <c r="I99" s="56">
        <f t="shared" si="32"/>
        <v>-2995.5199999999995</v>
      </c>
      <c r="J99" s="56">
        <f>F99/D99*100</f>
        <v>34.49121962954054</v>
      </c>
      <c r="K99" s="56">
        <f>F99-1665.9</f>
        <v>-88.72000000000003</v>
      </c>
      <c r="L99" s="135">
        <f>F99/1665.9</f>
        <v>0.946743502010925</v>
      </c>
      <c r="M99" s="40">
        <f>E99-квітень!E99</f>
        <v>330</v>
      </c>
      <c r="N99" s="40">
        <f>F99-квітень!F99</f>
        <v>338.72</v>
      </c>
      <c r="O99" s="53">
        <f t="shared" si="33"/>
        <v>8.720000000000027</v>
      </c>
      <c r="P99" s="56">
        <f>N99/M99*100</f>
        <v>102.64242424242424</v>
      </c>
      <c r="Q99" s="56">
        <f>N99-671</f>
        <v>-332.28</v>
      </c>
      <c r="R99" s="135">
        <f>N99/671</f>
        <v>0.5047988077496275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278.8</v>
      </c>
      <c r="G102" s="144"/>
      <c r="H102" s="146"/>
      <c r="I102" s="145"/>
      <c r="J102" s="145"/>
      <c r="K102" s="148">
        <f>F102-184.7</f>
        <v>94.10000000000002</v>
      </c>
      <c r="L102" s="149">
        <f>F102/184.7</f>
        <v>1.5094748240389824</v>
      </c>
      <c r="M102" s="40">
        <f>E102-квітень!E102</f>
        <v>0</v>
      </c>
      <c r="N102" s="40">
        <f>F102-квітень!F102</f>
        <v>43.400000000000006</v>
      </c>
      <c r="O102" s="53"/>
      <c r="P102" s="60"/>
      <c r="Q102" s="60">
        <f>N102-45.1</f>
        <v>-1.6999999999999957</v>
      </c>
      <c r="R102" s="138">
        <f>N102/45.1</f>
        <v>0.9623059866962307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-54.09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11.41</v>
      </c>
      <c r="G104" s="49">
        <f>F104-E104</f>
        <v>-0.7899999999999991</v>
      </c>
      <c r="H104" s="40">
        <f>F104/E104*100</f>
        <v>93.52459016393443</v>
      </c>
      <c r="I104" s="56">
        <f t="shared" si="34"/>
        <v>-33.59</v>
      </c>
      <c r="J104" s="56">
        <f aca="true" t="shared" si="36" ref="J104:J109">F104/D104*100</f>
        <v>25.355555555555554</v>
      </c>
      <c r="K104" s="56">
        <f>F104-13.3</f>
        <v>-1.8900000000000006</v>
      </c>
      <c r="L104" s="135">
        <f>F104/13.3</f>
        <v>0.8578947368421053</v>
      </c>
      <c r="M104" s="40">
        <f>E104-квітень!E104</f>
        <v>3</v>
      </c>
      <c r="N104" s="40">
        <f>F104-квітень!F104</f>
        <v>2.4000000000000004</v>
      </c>
      <c r="O104" s="53">
        <f t="shared" si="35"/>
        <v>-0.5999999999999996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172699.82</v>
      </c>
      <c r="G106" s="50">
        <f>F106-E106</f>
        <v>-24911.440000000002</v>
      </c>
      <c r="H106" s="51">
        <f>F106/E106*100</f>
        <v>87.39371430555121</v>
      </c>
      <c r="I106" s="36">
        <f t="shared" si="34"/>
        <v>-334179.77999999997</v>
      </c>
      <c r="J106" s="36">
        <f t="shared" si="36"/>
        <v>34.07117193116472</v>
      </c>
      <c r="K106" s="36">
        <f>F106-194689.2</f>
        <v>-21989.380000000005</v>
      </c>
      <c r="L106" s="136">
        <f>F106/194689.2</f>
        <v>0.8870539300587809</v>
      </c>
      <c r="M106" s="22">
        <f>M8+M74+M104+M105</f>
        <v>38933.46999999999</v>
      </c>
      <c r="N106" s="22">
        <f>N8+N74+N104+N105</f>
        <v>22742.690000000017</v>
      </c>
      <c r="O106" s="55">
        <f t="shared" si="35"/>
        <v>-16190.77999999997</v>
      </c>
      <c r="P106" s="36">
        <f>N106/M106*100</f>
        <v>58.41423844316991</v>
      </c>
      <c r="Q106" s="36">
        <f>N106-38187.1</f>
        <v>-15444.409999999982</v>
      </c>
      <c r="R106" s="136">
        <f>N106/38187.1</f>
        <v>0.595559495222209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137223.63</v>
      </c>
      <c r="G107" s="71">
        <f>G10-G18+G96</f>
        <v>-19262.669999999976</v>
      </c>
      <c r="H107" s="72">
        <f>F107/E107*100</f>
        <v>87.69050709231416</v>
      </c>
      <c r="I107" s="52">
        <f t="shared" si="34"/>
        <v>-250989.57</v>
      </c>
      <c r="J107" s="52">
        <f t="shared" si="36"/>
        <v>35.34749204818383</v>
      </c>
      <c r="K107" s="52">
        <f>F107-146288.9</f>
        <v>-9065.26999999999</v>
      </c>
      <c r="L107" s="137">
        <f>F107/146288.9</f>
        <v>0.9380317303636845</v>
      </c>
      <c r="M107" s="71">
        <f>M10-M18+M96</f>
        <v>30488.59999999999</v>
      </c>
      <c r="N107" s="71">
        <f>N10-N18+N96</f>
        <v>19823.890000000018</v>
      </c>
      <c r="O107" s="53">
        <f t="shared" si="35"/>
        <v>-10664.709999999974</v>
      </c>
      <c r="P107" s="52">
        <f>N107/M107*100</f>
        <v>65.020663461097</v>
      </c>
      <c r="Q107" s="52">
        <f>N107-28646.6</f>
        <v>-8822.709999999981</v>
      </c>
      <c r="R107" s="137">
        <f>N107/28646.6</f>
        <v>0.6920154573317608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35476.19</v>
      </c>
      <c r="G108" s="62">
        <f>F108-E108</f>
        <v>-5648.770000000019</v>
      </c>
      <c r="H108" s="72">
        <f>F108/E108*100</f>
        <v>86.26437569787299</v>
      </c>
      <c r="I108" s="52">
        <f t="shared" si="34"/>
        <v>-83190.20999999996</v>
      </c>
      <c r="J108" s="52">
        <f t="shared" si="36"/>
        <v>29.895732911759364</v>
      </c>
      <c r="K108" s="52">
        <f>F108-48400.3</f>
        <v>-12924.11</v>
      </c>
      <c r="L108" s="137">
        <f>F108/48400.3</f>
        <v>0.7329745890004814</v>
      </c>
      <c r="M108" s="71">
        <f>M106-M107</f>
        <v>8444.869999999995</v>
      </c>
      <c r="N108" s="71">
        <f>N106-N107</f>
        <v>2918.7999999999993</v>
      </c>
      <c r="O108" s="53">
        <f t="shared" si="35"/>
        <v>-5526.069999999996</v>
      </c>
      <c r="P108" s="52">
        <f>N108/M108*100</f>
        <v>34.56299504906531</v>
      </c>
      <c r="Q108" s="52">
        <f>N108-9540.4</f>
        <v>-6621.6</v>
      </c>
      <c r="R108" s="137">
        <f>N108/9540.4</f>
        <v>0.30594105068969846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137223.63</v>
      </c>
      <c r="G109" s="111">
        <f>F109-E109</f>
        <v>-13892.76999999999</v>
      </c>
      <c r="H109" s="72">
        <f>F109/E109*100</f>
        <v>90.80657691686675</v>
      </c>
      <c r="I109" s="81">
        <f t="shared" si="34"/>
        <v>-250989.57</v>
      </c>
      <c r="J109" s="52">
        <f t="shared" si="36"/>
        <v>35.34749204818383</v>
      </c>
      <c r="K109" s="52"/>
      <c r="L109" s="137"/>
      <c r="M109" s="72">
        <f>E109-квітень!E109</f>
        <v>30488.59999999999</v>
      </c>
      <c r="N109" s="71">
        <f>N107</f>
        <v>19823.890000000018</v>
      </c>
      <c r="O109" s="118">
        <f t="shared" si="35"/>
        <v>-10664.709999999974</v>
      </c>
      <c r="P109" s="52">
        <f>N109/M109*100</f>
        <v>65.020663461097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467.48</v>
      </c>
      <c r="G114" s="49">
        <f t="shared" si="37"/>
        <v>-902.1199999999999</v>
      </c>
      <c r="H114" s="40">
        <f aca="true" t="shared" si="39" ref="H114:H125">F114/E114*100</f>
        <v>34.132593457943926</v>
      </c>
      <c r="I114" s="60">
        <f t="shared" si="38"/>
        <v>-3204.02</v>
      </c>
      <c r="J114" s="60">
        <f aca="true" t="shared" si="40" ref="J114:J120">F114/D114*100</f>
        <v>12.732670570611468</v>
      </c>
      <c r="K114" s="60">
        <f>F114-1614.9</f>
        <v>-1147.42</v>
      </c>
      <c r="L114" s="138">
        <f>F114/1614.9</f>
        <v>0.28947922471979687</v>
      </c>
      <c r="M114" s="40">
        <f>E114-квітень!E114</f>
        <v>327.5</v>
      </c>
      <c r="N114" s="40">
        <f>F114-квітень!F114</f>
        <v>92.49000000000001</v>
      </c>
      <c r="O114" s="53">
        <f aca="true" t="shared" si="41" ref="O114:O125">N114-M114</f>
        <v>-235.01</v>
      </c>
      <c r="P114" s="60">
        <f>N114/M114*100</f>
        <v>28.241221374045804</v>
      </c>
      <c r="Q114" s="60">
        <f>N114-411.7</f>
        <v>-319.21</v>
      </c>
      <c r="R114" s="138">
        <f>N114/411.7</f>
        <v>0.22465387418022836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585.88</v>
      </c>
      <c r="G116" s="62">
        <f t="shared" si="37"/>
        <v>-896.2199999999999</v>
      </c>
      <c r="H116" s="72">
        <f t="shared" si="39"/>
        <v>39.5303960596451</v>
      </c>
      <c r="I116" s="61">
        <f t="shared" si="38"/>
        <v>-3353.72</v>
      </c>
      <c r="J116" s="61">
        <f t="shared" si="40"/>
        <v>14.871560564524316</v>
      </c>
      <c r="K116" s="61">
        <f>F116-1727</f>
        <v>-1141.12</v>
      </c>
      <c r="L116" s="139">
        <f>F116/1727</f>
        <v>0.3392472495657209</v>
      </c>
      <c r="M116" s="62">
        <f>M114+M115+M113</f>
        <v>349.5</v>
      </c>
      <c r="N116" s="38">
        <f>SUM(N113:N115)</f>
        <v>115.31000000000002</v>
      </c>
      <c r="O116" s="61">
        <f t="shared" si="41"/>
        <v>-234.19</v>
      </c>
      <c r="P116" s="61">
        <f>N116/M116*100</f>
        <v>32.9928469241774</v>
      </c>
      <c r="Q116" s="61">
        <f>N116-432.8</f>
        <v>-317.49</v>
      </c>
      <c r="R116" s="139">
        <f>N116/432.8</f>
        <v>0.26642791127541593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128.8</v>
      </c>
      <c r="G118" s="49">
        <f t="shared" si="37"/>
        <v>22.30000000000001</v>
      </c>
      <c r="H118" s="40">
        <f t="shared" si="39"/>
        <v>120.93896713615024</v>
      </c>
      <c r="I118" s="60">
        <f t="shared" si="38"/>
        <v>-138.39999999999998</v>
      </c>
      <c r="J118" s="60">
        <f t="shared" si="40"/>
        <v>48.20359281437126</v>
      </c>
      <c r="K118" s="60">
        <f>F118-88.5</f>
        <v>40.30000000000001</v>
      </c>
      <c r="L118" s="138">
        <f>F118/88.5</f>
        <v>1.4553672316384183</v>
      </c>
      <c r="M118" s="40">
        <f>E118-квітень!E118</f>
        <v>0</v>
      </c>
      <c r="N118" s="40">
        <f>F118-квітень!F118</f>
        <v>0.9400000000000119</v>
      </c>
      <c r="O118" s="53">
        <f>N118-M118</f>
        <v>0.9400000000000119</v>
      </c>
      <c r="P118" s="60" t="e">
        <f>N118/M118*100</f>
        <v>#DIV/0!</v>
      </c>
      <c r="Q118" s="60">
        <f>N118-0.1</f>
        <v>0.840000000000012</v>
      </c>
      <c r="R118" s="138">
        <f>N118/0.1</f>
        <v>9.40000000000012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34598.1</v>
      </c>
      <c r="G119" s="49">
        <f t="shared" si="37"/>
        <v>2985.5</v>
      </c>
      <c r="H119" s="40">
        <f t="shared" si="39"/>
        <v>109.44401915691844</v>
      </c>
      <c r="I119" s="53">
        <f t="shared" si="38"/>
        <v>-37377.89000000001</v>
      </c>
      <c r="J119" s="60">
        <f t="shared" si="40"/>
        <v>48.06894632501755</v>
      </c>
      <c r="K119" s="60">
        <f>F119-30022.6</f>
        <v>4575.5</v>
      </c>
      <c r="L119" s="138">
        <f>F119/30022.6</f>
        <v>1.1524018572675252</v>
      </c>
      <c r="M119" s="40">
        <f>E119-квітень!E119</f>
        <v>6500</v>
      </c>
      <c r="N119" s="40">
        <f>F119-квітень!F119</f>
        <v>8036.259999999998</v>
      </c>
      <c r="O119" s="53">
        <f t="shared" si="41"/>
        <v>1536.2599999999984</v>
      </c>
      <c r="P119" s="60">
        <f aca="true" t="shared" si="42" ref="P119:P124">N119/M119*100</f>
        <v>123.63476923076921</v>
      </c>
      <c r="Q119" s="60">
        <f>N119-6377.4</f>
        <v>1658.8599999999988</v>
      </c>
      <c r="R119" s="138">
        <f>N119/6377.4</f>
        <v>1.2601154075328502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1454.64</v>
      </c>
      <c r="G120" s="49">
        <f t="shared" si="37"/>
        <v>-193.3599999999999</v>
      </c>
      <c r="H120" s="40">
        <f t="shared" si="39"/>
        <v>88.26699029126213</v>
      </c>
      <c r="I120" s="60">
        <f t="shared" si="38"/>
        <v>-8545.36</v>
      </c>
      <c r="J120" s="60">
        <f t="shared" si="40"/>
        <v>14.5464</v>
      </c>
      <c r="K120" s="60">
        <f>F120-436.1</f>
        <v>1018.5400000000001</v>
      </c>
      <c r="L120" s="138">
        <f>F120/436.1</f>
        <v>3.3355652373308873</v>
      </c>
      <c r="M120" s="40">
        <f>E120-квітень!E120</f>
        <v>207</v>
      </c>
      <c r="N120" s="40">
        <f>F120-квітень!F120</f>
        <v>19.6400000000001</v>
      </c>
      <c r="O120" s="53">
        <f t="shared" si="41"/>
        <v>-187.3599999999999</v>
      </c>
      <c r="P120" s="60">
        <f t="shared" si="42"/>
        <v>9.487922705314059</v>
      </c>
      <c r="Q120" s="60">
        <f>N120-0</f>
        <v>19.6400000000001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2053.87</v>
      </c>
      <c r="G121" s="49">
        <f t="shared" si="37"/>
        <v>-1001.5300000000002</v>
      </c>
      <c r="H121" s="40">
        <f t="shared" si="39"/>
        <v>67.2209857956405</v>
      </c>
      <c r="I121" s="60">
        <f t="shared" si="38"/>
        <v>-21024.13</v>
      </c>
      <c r="J121" s="60">
        <f>F121/D121*100</f>
        <v>8.89968801455932</v>
      </c>
      <c r="K121" s="60">
        <f>F121-7468.7</f>
        <v>-5414.83</v>
      </c>
      <c r="L121" s="138">
        <f>F121/7468.7</f>
        <v>0.27499698742753087</v>
      </c>
      <c r="M121" s="40">
        <f>E121-квітень!E121</f>
        <v>1575.4</v>
      </c>
      <c r="N121" s="40">
        <f>F121-квітень!F121</f>
        <v>566.3799999999999</v>
      </c>
      <c r="O121" s="53">
        <f t="shared" si="41"/>
        <v>-1009.0200000000002</v>
      </c>
      <c r="P121" s="60">
        <f t="shared" si="42"/>
        <v>35.95150437984003</v>
      </c>
      <c r="Q121" s="60">
        <f>N121-192.7</f>
        <v>373.6799999999999</v>
      </c>
      <c r="R121" s="138">
        <f>N121/192.7</f>
        <v>2.93918007265179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699.45</v>
      </c>
      <c r="G122" s="49">
        <f t="shared" si="37"/>
        <v>26.590000000000032</v>
      </c>
      <c r="H122" s="40">
        <f t="shared" si="39"/>
        <v>103.95178789049729</v>
      </c>
      <c r="I122" s="60">
        <f t="shared" si="38"/>
        <v>-1300.55</v>
      </c>
      <c r="J122" s="60">
        <f>F122/D122*100</f>
        <v>34.972500000000004</v>
      </c>
      <c r="K122" s="60">
        <f>F122-1200</f>
        <v>-500.54999999999995</v>
      </c>
      <c r="L122" s="138">
        <f>F122/1200</f>
        <v>0.582875</v>
      </c>
      <c r="M122" s="40">
        <f>E122-квітень!E122</f>
        <v>189.59000000000003</v>
      </c>
      <c r="N122" s="40">
        <f>F122-квітень!F122</f>
        <v>122.18000000000006</v>
      </c>
      <c r="O122" s="53">
        <f t="shared" si="41"/>
        <v>-67.40999999999997</v>
      </c>
      <c r="P122" s="60">
        <f t="shared" si="42"/>
        <v>64.444327232449</v>
      </c>
      <c r="Q122" s="60">
        <f>N122-29.5</f>
        <v>92.68000000000006</v>
      </c>
      <c r="R122" s="138">
        <f>N122/29.5</f>
        <v>4.14169491525424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38934.86</v>
      </c>
      <c r="G123" s="62">
        <f t="shared" si="37"/>
        <v>1839.5</v>
      </c>
      <c r="H123" s="72">
        <f t="shared" si="39"/>
        <v>104.95884121356418</v>
      </c>
      <c r="I123" s="61">
        <f t="shared" si="38"/>
        <v>-68386.33</v>
      </c>
      <c r="J123" s="61">
        <f>F123/D123*100</f>
        <v>36.2788187495871</v>
      </c>
      <c r="K123" s="61">
        <f>F123-39215.9</f>
        <v>-281.0400000000009</v>
      </c>
      <c r="L123" s="139">
        <f>F123/39215.9</f>
        <v>0.9928335190573211</v>
      </c>
      <c r="M123" s="62">
        <f>M119+M120+M121+M122+M118</f>
        <v>8471.99</v>
      </c>
      <c r="N123" s="62">
        <f>N119+N120+N121+N122+N118</f>
        <v>8745.4</v>
      </c>
      <c r="O123" s="61">
        <f t="shared" si="41"/>
        <v>273.40999999999985</v>
      </c>
      <c r="P123" s="61">
        <f t="shared" si="42"/>
        <v>103.2272228838797</v>
      </c>
      <c r="Q123" s="61">
        <f>N123-6599.8</f>
        <v>2145.5999999999995</v>
      </c>
      <c r="R123" s="139">
        <f>N123/6599.8</f>
        <v>1.3251007606291099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5291.88</v>
      </c>
      <c r="G127" s="49">
        <f aca="true" t="shared" si="43" ref="G127:G134">F127-E127</f>
        <v>280.3800000000001</v>
      </c>
      <c r="H127" s="40">
        <f>F127/E127*100</f>
        <v>105.5947321161329</v>
      </c>
      <c r="I127" s="60">
        <f aca="true" t="shared" si="44" ref="I127:I134">F127-D127</f>
        <v>-3408.12</v>
      </c>
      <c r="J127" s="60">
        <f>F127/D127*100</f>
        <v>60.826206896551724</v>
      </c>
      <c r="K127" s="60">
        <f>F127-6289.1</f>
        <v>-997.2200000000003</v>
      </c>
      <c r="L127" s="138">
        <f>F127/6289.1</f>
        <v>0.8414367715571385</v>
      </c>
      <c r="M127" s="40">
        <f>E127-квітень!E127</f>
        <v>2502</v>
      </c>
      <c r="N127" s="40">
        <f>F127-квітень!F127</f>
        <v>2673.4500000000003</v>
      </c>
      <c r="O127" s="53">
        <f aca="true" t="shared" si="45" ref="O127:O134">N127-M127</f>
        <v>171.45000000000027</v>
      </c>
      <c r="P127" s="60">
        <f>N127/M127*100</f>
        <v>106.85251798561153</v>
      </c>
      <c r="Q127" s="60">
        <f>N127-3456.6</f>
        <v>-783.1499999999996</v>
      </c>
      <c r="R127" s="162">
        <f>N127/3456.5</f>
        <v>0.7734558078981629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3"/>
        <v>-0.16</v>
      </c>
      <c r="H128" s="40"/>
      <c r="I128" s="60">
        <f t="shared" si="44"/>
        <v>-0.16</v>
      </c>
      <c r="J128" s="60"/>
      <c r="K128" s="60">
        <f>F128-(-0.5)</f>
        <v>0.33999999999999997</v>
      </c>
      <c r="L128" s="138">
        <f>F128/(-0.5)</f>
        <v>0.32</v>
      </c>
      <c r="M128" s="40">
        <f>E128-квітень!E128</f>
        <v>0</v>
      </c>
      <c r="N128" s="40">
        <f>F128-квітень!F128</f>
        <v>0.11000000000000001</v>
      </c>
      <c r="O128" s="53">
        <f t="shared" si="45"/>
        <v>0.11000000000000001</v>
      </c>
      <c r="P128" s="60"/>
      <c r="Q128" s="60">
        <f>N128-0.1</f>
        <v>0.010000000000000009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5320.1900000000005</v>
      </c>
      <c r="G129" s="62">
        <f t="shared" si="43"/>
        <v>287.33000000000084</v>
      </c>
      <c r="H129" s="72">
        <f>F129/E129*100</f>
        <v>105.7090799267216</v>
      </c>
      <c r="I129" s="61">
        <f t="shared" si="44"/>
        <v>-3430.51</v>
      </c>
      <c r="J129" s="61">
        <f>F129/D129*100</f>
        <v>60.79730764395991</v>
      </c>
      <c r="K129" s="61">
        <f>F129-2938.1</f>
        <v>2382.0900000000006</v>
      </c>
      <c r="L129" s="139">
        <f>G129/2938.1</f>
        <v>0.09779449303971983</v>
      </c>
      <c r="M129" s="62">
        <f>M124+M127+M128+M126</f>
        <v>2505</v>
      </c>
      <c r="N129" s="62">
        <f>N124+N127+N128+N126</f>
        <v>2674.6200000000003</v>
      </c>
      <c r="O129" s="61">
        <f t="shared" si="45"/>
        <v>169.62000000000035</v>
      </c>
      <c r="P129" s="61">
        <f>N129/M129*100</f>
        <v>106.77125748502996</v>
      </c>
      <c r="Q129" s="61">
        <f>N129-3458.2</f>
        <v>-783.5799999999995</v>
      </c>
      <c r="R129" s="137">
        <f>N129/3458.2</f>
        <v>0.77341391475334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44853.12</v>
      </c>
      <c r="G133" s="50">
        <f t="shared" si="43"/>
        <v>1234.1500000000015</v>
      </c>
      <c r="H133" s="51">
        <f>F133/E133*100</f>
        <v>102.82938822260132</v>
      </c>
      <c r="I133" s="36">
        <f t="shared" si="44"/>
        <v>-75188.37</v>
      </c>
      <c r="J133" s="36">
        <f>F133/D133*100</f>
        <v>37.36468116148842</v>
      </c>
      <c r="K133" s="36">
        <f>F133-47348.4</f>
        <v>-2495.279999999999</v>
      </c>
      <c r="L133" s="136">
        <f>F133/47348.4</f>
        <v>0.9472995919608688</v>
      </c>
      <c r="M133" s="31">
        <f>M116+M130+M123+M129+M132+M131</f>
        <v>11326.89</v>
      </c>
      <c r="N133" s="31">
        <f>N116+N130+N123+N129+N132+N131</f>
        <v>11535.33</v>
      </c>
      <c r="O133" s="36">
        <f t="shared" si="45"/>
        <v>208.4400000000005</v>
      </c>
      <c r="P133" s="36">
        <f>N133/M133*100</f>
        <v>101.84022269131245</v>
      </c>
      <c r="Q133" s="36">
        <f>N133-10488.3</f>
        <v>1047.0300000000007</v>
      </c>
      <c r="R133" s="136">
        <f>N133/10488.3</f>
        <v>1.0998283801950746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217552.94</v>
      </c>
      <c r="G134" s="50">
        <f t="shared" si="43"/>
        <v>-23677.290000000008</v>
      </c>
      <c r="H134" s="51">
        <f>F134/E134*100</f>
        <v>90.18477493471693</v>
      </c>
      <c r="I134" s="36">
        <f t="shared" si="44"/>
        <v>-409368.14999999997</v>
      </c>
      <c r="J134" s="36">
        <f>F134/D134*100</f>
        <v>34.701805932226655</v>
      </c>
      <c r="K134" s="36">
        <f>F134-242037.6</f>
        <v>-24484.660000000003</v>
      </c>
      <c r="L134" s="136">
        <f>F134/242037.6</f>
        <v>0.8988394365173015</v>
      </c>
      <c r="M134" s="22">
        <f>M106+M133</f>
        <v>50260.359999999986</v>
      </c>
      <c r="N134" s="22">
        <f>N106+N133</f>
        <v>34278.02000000002</v>
      </c>
      <c r="O134" s="36">
        <f t="shared" si="45"/>
        <v>-15982.339999999967</v>
      </c>
      <c r="P134" s="36">
        <f>N134/M134*100</f>
        <v>68.20090425138225</v>
      </c>
      <c r="Q134" s="36">
        <f>N134-48675.4</f>
        <v>-14397.379999999983</v>
      </c>
      <c r="R134" s="136">
        <f>N134/48675.4</f>
        <v>0.7042165036137354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7</v>
      </c>
      <c r="D136" s="4" t="s">
        <v>118</v>
      </c>
    </row>
    <row r="137" spans="2:17" ht="31.5">
      <c r="B137" s="78" t="s">
        <v>154</v>
      </c>
      <c r="C137" s="39">
        <f>IF(O106&lt;0,ABS(O106/C136),0)</f>
        <v>2312.968571428567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41780</v>
      </c>
      <c r="D138" s="39">
        <v>2085.7</v>
      </c>
      <c r="N138" s="191"/>
      <c r="O138" s="191"/>
    </row>
    <row r="139" spans="3:15" ht="15.75">
      <c r="C139" s="120">
        <v>41779</v>
      </c>
      <c r="D139" s="39">
        <v>2016.8</v>
      </c>
      <c r="F139" s="4" t="s">
        <v>166</v>
      </c>
      <c r="G139" s="192" t="s">
        <v>151</v>
      </c>
      <c r="H139" s="192"/>
      <c r="I139" s="115">
        <f>'[1]залишки  (2)'!$G$9/1000</f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41778</v>
      </c>
      <c r="D140" s="39">
        <v>1484.5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f>'[1]залишки  (2)'!$G$6/1000</f>
        <v>122203.42264</v>
      </c>
      <c r="E142" s="80"/>
      <c r="F142" s="100" t="s">
        <v>147</v>
      </c>
      <c r="G142" s="192" t="s">
        <v>149</v>
      </c>
      <c r="H142" s="192"/>
      <c r="I142" s="116">
        <f>'[1]залишки  (2)'!$G$10/1000</f>
        <v>108378.20068000001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8530.754199999996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221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217</v>
      </c>
      <c r="H4" s="180" t="s">
        <v>218</v>
      </c>
      <c r="I4" s="182" t="s">
        <v>188</v>
      </c>
      <c r="J4" s="184" t="s">
        <v>189</v>
      </c>
      <c r="K4" s="186" t="s">
        <v>219</v>
      </c>
      <c r="L4" s="187"/>
      <c r="M4" s="176"/>
      <c r="N4" s="194" t="s">
        <v>227</v>
      </c>
      <c r="O4" s="182" t="s">
        <v>136</v>
      </c>
      <c r="P4" s="182" t="s">
        <v>135</v>
      </c>
      <c r="Q4" s="186" t="s">
        <v>222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216</v>
      </c>
      <c r="F5" s="179"/>
      <c r="G5" s="164"/>
      <c r="H5" s="181"/>
      <c r="I5" s="183"/>
      <c r="J5" s="185"/>
      <c r="K5" s="188"/>
      <c r="L5" s="189"/>
      <c r="M5" s="151" t="s">
        <v>220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41757</v>
      </c>
      <c r="D140" s="39">
        <v>1923.2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8530.754199999996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208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210</v>
      </c>
      <c r="N3" s="177" t="s">
        <v>198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207</v>
      </c>
      <c r="H4" s="180" t="s">
        <v>195</v>
      </c>
      <c r="I4" s="182" t="s">
        <v>188</v>
      </c>
      <c r="J4" s="184" t="s">
        <v>189</v>
      </c>
      <c r="K4" s="186" t="s">
        <v>196</v>
      </c>
      <c r="L4" s="187"/>
      <c r="M4" s="176"/>
      <c r="N4" s="194" t="s">
        <v>213</v>
      </c>
      <c r="O4" s="182" t="s">
        <v>136</v>
      </c>
      <c r="P4" s="182" t="s">
        <v>135</v>
      </c>
      <c r="Q4" s="186" t="s">
        <v>197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214</v>
      </c>
      <c r="F5" s="179"/>
      <c r="G5" s="164"/>
      <c r="H5" s="181"/>
      <c r="I5" s="183"/>
      <c r="J5" s="185"/>
      <c r="K5" s="188"/>
      <c r="L5" s="189"/>
      <c r="M5" s="151" t="s">
        <v>211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41725</v>
      </c>
      <c r="D140" s="39">
        <v>3360.7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3918.1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187</v>
      </c>
      <c r="E3" s="46"/>
      <c r="F3" s="206" t="s">
        <v>107</v>
      </c>
      <c r="G3" s="207"/>
      <c r="H3" s="207"/>
      <c r="I3" s="207"/>
      <c r="J3" s="208"/>
      <c r="K3" s="123"/>
      <c r="L3" s="123"/>
      <c r="M3" s="209" t="s">
        <v>190</v>
      </c>
      <c r="N3" s="204" t="s">
        <v>185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191</v>
      </c>
      <c r="F4" s="212" t="s">
        <v>116</v>
      </c>
      <c r="G4" s="214" t="s">
        <v>167</v>
      </c>
      <c r="H4" s="180" t="s">
        <v>168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09"/>
      <c r="N4" s="194" t="s">
        <v>194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184</v>
      </c>
      <c r="L5" s="189"/>
      <c r="M5" s="209"/>
      <c r="N5" s="195"/>
      <c r="O5" s="217"/>
      <c r="P5" s="204"/>
      <c r="Q5" s="188" t="s">
        <v>199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41696</v>
      </c>
      <c r="D140" s="39">
        <v>3746.1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192</v>
      </c>
      <c r="E3" s="46"/>
      <c r="F3" s="206" t="s">
        <v>107</v>
      </c>
      <c r="G3" s="207"/>
      <c r="H3" s="207"/>
      <c r="I3" s="207"/>
      <c r="J3" s="208"/>
      <c r="K3" s="123"/>
      <c r="L3" s="123"/>
      <c r="M3" s="184" t="s">
        <v>200</v>
      </c>
      <c r="N3" s="204" t="s">
        <v>178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153</v>
      </c>
      <c r="F4" s="212" t="s">
        <v>116</v>
      </c>
      <c r="G4" s="214" t="s">
        <v>175</v>
      </c>
      <c r="H4" s="180" t="s">
        <v>176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20"/>
      <c r="N4" s="194" t="s">
        <v>186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177</v>
      </c>
      <c r="L5" s="189"/>
      <c r="M5" s="185"/>
      <c r="N5" s="195"/>
      <c r="O5" s="217"/>
      <c r="P5" s="204"/>
      <c r="Q5" s="188" t="s">
        <v>179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41668</v>
      </c>
      <c r="D140" s="39">
        <v>1984.7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2014-05-21T08:27:50Z</cp:lastPrinted>
  <dcterms:created xsi:type="dcterms:W3CDTF">2003-07-28T11:27:56Z</dcterms:created>
  <dcterms:modified xsi:type="dcterms:W3CDTF">2014-05-22T10:50:25Z</dcterms:modified>
  <cp:category/>
  <cp:version/>
  <cp:contentType/>
  <cp:contentStatus/>
</cp:coreProperties>
</file>